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  <sheet name="Sheet 2" sheetId="2" r:id="rId5"/>
  </sheets>
</workbook>
</file>

<file path=xl/sharedStrings.xml><?xml version="1.0" encoding="utf-8"?>
<sst xmlns="http://schemas.openxmlformats.org/spreadsheetml/2006/main" uniqueCount="72">
  <si>
    <t>Table 1</t>
  </si>
  <si>
    <t>Ave Annual Increase 2018 to 2024</t>
  </si>
  <si>
    <t>Cash on Hand</t>
  </si>
  <si>
    <t xml:space="preserve">Dues </t>
  </si>
  <si>
    <t>Dues Increase $50 ($25 ’26 &amp; ’27)</t>
  </si>
  <si>
    <t>Interest on CD</t>
  </si>
  <si>
    <t>Operating Expenses:</t>
  </si>
  <si>
    <t>Administrative</t>
  </si>
  <si>
    <t>Insurance</t>
  </si>
  <si>
    <t>Utilities</t>
  </si>
  <si>
    <t>Building Maintenance</t>
  </si>
  <si>
    <t>Camera and Key FOB System Maintenance</t>
  </si>
  <si>
    <t>Weekly Landscaping</t>
  </si>
  <si>
    <t>Tree Removal and Fertalization</t>
  </si>
  <si>
    <t>Mulch and Landscaping Improvemtents</t>
  </si>
  <si>
    <t>Daily Maintenance - Pool,  Bathrooms, Trash</t>
  </si>
  <si>
    <t>Normal Operating Surplus/(Deficit)</t>
  </si>
  <si>
    <t>Major Repairs:</t>
  </si>
  <si>
    <t>Parking Lot Seal and Strip</t>
  </si>
  <si>
    <t>Parking Lot Repave</t>
  </si>
  <si>
    <t>Seal and Repair concrete in picnic area</t>
  </si>
  <si>
    <t>Light Poles</t>
  </si>
  <si>
    <t>Benches and Picnic Tables and Benches</t>
  </si>
  <si>
    <t>Landscaping Upgrade</t>
  </si>
  <si>
    <t>New Gutters and Paint</t>
  </si>
  <si>
    <t>Tennis Court Asphalt</t>
  </si>
  <si>
    <t>Tennis Court Resurface</t>
  </si>
  <si>
    <t>Tennis Court Fence Repairs</t>
  </si>
  <si>
    <t>Tennis Net</t>
  </si>
  <si>
    <t>Swing Set and Play Stucture</t>
  </si>
  <si>
    <t>Pool Furniture</t>
  </si>
  <si>
    <t>Pool Fence</t>
  </si>
  <si>
    <t>Pool Heater</t>
  </si>
  <si>
    <t>Pool Filter</t>
  </si>
  <si>
    <t>Pool Resurfacing</t>
  </si>
  <si>
    <t>Pool Coping Stone and Tile Replacement</t>
  </si>
  <si>
    <t>New Pool Cover</t>
  </si>
  <si>
    <t>Roof</t>
  </si>
  <si>
    <t>insurance</t>
  </si>
  <si>
    <t>Bathroom Refurbishment</t>
  </si>
  <si>
    <t>Bathroom Shower Refurbishment</t>
  </si>
  <si>
    <t>Water Heater</t>
  </si>
  <si>
    <t>New Drinking Fountain</t>
  </si>
  <si>
    <t>Entry &amp; Camera Systems</t>
  </si>
  <si>
    <t>WifI Sprinkler Controller</t>
  </si>
  <si>
    <t>Total Major Repairs</t>
  </si>
  <si>
    <t>Income/(loss)</t>
  </si>
  <si>
    <t>Actions:</t>
  </si>
  <si>
    <t>1. put money in a CD or money market</t>
  </si>
  <si>
    <t>2. Find a new pool company</t>
  </si>
  <si>
    <t>3. Mulch schedule every 2 years</t>
  </si>
  <si>
    <t>4. Competitively quote landscaping</t>
  </si>
  <si>
    <t>5. Dues increase</t>
  </si>
  <si>
    <t>6. Pool closes labor day</t>
  </si>
  <si>
    <t>7. Call WOW to lower cost</t>
  </si>
  <si>
    <t>Operating Cost Increases Since 2018:</t>
  </si>
  <si>
    <t>Total</t>
  </si>
  <si>
    <r>
      <rPr>
        <b val="1"/>
        <sz val="10"/>
        <color indexed="8"/>
        <rFont val="Helvetica Neue"/>
      </rPr>
      <t>Weekly Landscaping</t>
    </r>
  </si>
  <si>
    <r>
      <rPr>
        <b val="1"/>
        <sz val="10"/>
        <color indexed="8"/>
        <rFont val="Helvetica Neue"/>
      </rPr>
      <t>Daily Maintenance - Pool,  Bathrooms, Trash</t>
    </r>
  </si>
  <si>
    <t>Key FOB and Camera Maintenance</t>
  </si>
  <si>
    <t>All Other Items</t>
  </si>
  <si>
    <t>Annual Increase</t>
  </si>
  <si>
    <t>Major Expenditures Since 2018</t>
  </si>
  <si>
    <t>Amount</t>
  </si>
  <si>
    <r>
      <rPr>
        <b val="1"/>
        <sz val="10"/>
        <color indexed="8"/>
        <rFont val="Helvetica Neue"/>
      </rPr>
      <t>Parking Lot Seal and Strip</t>
    </r>
  </si>
  <si>
    <r>
      <rPr>
        <b val="1"/>
        <sz val="10"/>
        <color indexed="8"/>
        <rFont val="Helvetica Neue"/>
      </rPr>
      <t>New Gutters and Paint</t>
    </r>
  </si>
  <si>
    <r>
      <rPr>
        <b val="1"/>
        <sz val="10"/>
        <color indexed="8"/>
        <rFont val="Helvetica Neue"/>
      </rPr>
      <t>Pool Furniture</t>
    </r>
  </si>
  <si>
    <r>
      <rPr>
        <b val="1"/>
        <sz val="10"/>
        <color indexed="8"/>
        <rFont val="Helvetica Neue"/>
      </rPr>
      <t>New Pool Cover</t>
    </r>
  </si>
  <si>
    <r>
      <rPr>
        <b val="1"/>
        <sz val="10"/>
        <color indexed="8"/>
        <rFont val="Helvetica Neue"/>
      </rPr>
      <t>Bathroom Refurbishment</t>
    </r>
  </si>
  <si>
    <r>
      <rPr>
        <b val="1"/>
        <sz val="10"/>
        <color indexed="8"/>
        <rFont val="Helvetica Neue"/>
      </rPr>
      <t>Entry &amp; Camera Systems</t>
    </r>
  </si>
  <si>
    <t xml:space="preserve">Total </t>
  </si>
  <si>
    <t>Items in Need of Repair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</si>
</sst>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#,##0&quot; &quot;;(&quot;$&quot;#,##0)"/>
  </numFmts>
  <fonts count="9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12"/>
      <color indexed="8"/>
      <name val="Helvetica Neue"/>
    </font>
    <font>
      <b val="1"/>
      <sz val="10"/>
      <color indexed="8"/>
      <name val="Helvetica Neue"/>
    </font>
    <font>
      <b val="1"/>
      <u val="single"/>
      <sz val="10"/>
      <color indexed="8"/>
      <name val="Helvetica Neue"/>
    </font>
    <font>
      <sz val="9"/>
      <color indexed="8"/>
      <name val="Helvetica"/>
    </font>
    <font>
      <b val="1"/>
      <sz val="9"/>
      <color indexed="8"/>
      <name val="Helvetica Neue"/>
    </font>
    <font>
      <b val="1"/>
      <u val="single"/>
      <sz val="12"/>
      <color indexed="8"/>
      <name val="Helvetica Neue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</fills>
  <borders count="3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8"/>
      </bottom>
      <diagonal/>
    </border>
    <border>
      <left style="thin">
        <color indexed="13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3"/>
      </left>
      <right style="thin">
        <color indexed="13"/>
      </right>
      <top style="medium">
        <color indexed="8"/>
      </top>
      <bottom>
        <color indexed="8"/>
      </bottom>
      <diagonal/>
    </border>
    <border>
      <left style="thin">
        <color indexed="13"/>
      </left>
      <right style="thin">
        <color indexed="11"/>
      </right>
      <top style="medium">
        <color indexed="8"/>
      </top>
      <bottom>
        <color indexed="8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>
        <color indexed="8"/>
      </bottom>
      <diagonal/>
    </border>
    <border>
      <left style="thin">
        <color indexed="13"/>
      </left>
      <right style="thin">
        <color indexed="11"/>
      </right>
      <top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>
        <color indexed="8"/>
      </top>
      <bottom style="medium">
        <color indexed="8"/>
      </bottom>
      <diagonal/>
    </border>
    <border>
      <left style="thin">
        <color indexed="11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11"/>
      </right>
      <top style="medium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medium">
        <color indexed="8"/>
      </bottom>
      <diagonal/>
    </border>
    <border>
      <left style="thin">
        <color indexed="11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20"/>
      </bottom>
      <diagonal/>
    </border>
    <border>
      <left style="thin">
        <color indexed="19"/>
      </left>
      <right style="thin">
        <color indexed="19"/>
      </right>
      <top style="thin">
        <color indexed="20"/>
      </top>
      <bottom style="thin">
        <color indexed="19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medium">
        <color indexed="8"/>
      </bottom>
      <diagonal/>
    </border>
    <border>
      <left style="thin">
        <color indexed="19"/>
      </left>
      <right style="medium">
        <color indexed="8"/>
      </right>
      <top style="thin">
        <color indexed="19"/>
      </top>
      <bottom style="thin">
        <color indexed="19"/>
      </bottom>
      <diagonal/>
    </border>
    <border>
      <left style="medium">
        <color indexed="8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19"/>
      </left>
      <right style="thin">
        <color indexed="19"/>
      </right>
      <top style="medium">
        <color indexed="8"/>
      </top>
      <bottom style="thin">
        <color indexed="1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68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3" fillId="2" borderId="1" applyNumberFormat="1" applyFont="1" applyFill="1" applyBorder="1" applyAlignment="1" applyProtection="0">
      <alignment horizontal="center" vertical="center"/>
    </xf>
    <xf numFmtId="0" fontId="4" fillId="3" borderId="2" applyNumberFormat="0" applyFont="1" applyFill="1" applyBorder="1" applyAlignment="1" applyProtection="0">
      <alignment vertical="top" wrapText="1"/>
    </xf>
    <xf numFmtId="0" fontId="3" fillId="2" borderId="2" applyNumberFormat="0" applyFont="1" applyFill="1" applyBorder="1" applyAlignment="1" applyProtection="0">
      <alignment horizontal="center" vertical="center"/>
    </xf>
    <xf numFmtId="0" fontId="3" fillId="2" borderId="3" applyNumberFormat="0" applyFont="1" applyFill="1" applyBorder="1" applyAlignment="1" applyProtection="0">
      <alignment horizontal="center" vertical="center"/>
    </xf>
    <xf numFmtId="0" fontId="5" fillId="3" borderId="4" applyNumberFormat="0" applyFont="1" applyFill="1" applyBorder="1" applyAlignment="1" applyProtection="0">
      <alignment horizontal="center" vertical="top" wrapText="1"/>
    </xf>
    <xf numFmtId="0" fontId="5" fillId="3" borderId="4" applyNumberFormat="1" applyFont="1" applyFill="1" applyBorder="1" applyAlignment="1" applyProtection="0">
      <alignment horizontal="center" vertical="top" wrapText="1"/>
    </xf>
    <xf numFmtId="0" fontId="4" fillId="4" borderId="5" applyNumberFormat="0" applyFont="1" applyFill="1" applyBorder="1" applyAlignment="1" applyProtection="0">
      <alignment vertical="top" wrapText="1"/>
    </xf>
    <xf numFmtId="0" fontId="4" fillId="4" borderId="6" applyNumberFormat="0" applyFont="1" applyFill="1" applyBorder="1" applyAlignment="1" applyProtection="0">
      <alignment vertical="top" wrapText="1"/>
    </xf>
    <xf numFmtId="59" fontId="4" fillId="3" borderId="7" applyNumberFormat="1" applyFont="1" applyFill="1" applyBorder="1" applyAlignment="1" applyProtection="0">
      <alignment vertical="top" wrapText="1"/>
    </xf>
    <xf numFmtId="59" fontId="4" fillId="3" borderId="5" applyNumberFormat="1" applyFont="1" applyFill="1" applyBorder="1" applyAlignment="1" applyProtection="0">
      <alignment vertical="top" wrapText="1"/>
    </xf>
    <xf numFmtId="49" fontId="4" fillId="4" borderId="8" applyNumberFormat="1" applyFont="1" applyFill="1" applyBorder="1" applyAlignment="1" applyProtection="0">
      <alignment horizontal="center" vertical="top" wrapText="1"/>
    </xf>
    <xf numFmtId="49" fontId="4" fillId="4" borderId="9" applyNumberFormat="1" applyFont="1" applyFill="1" applyBorder="1" applyAlignment="1" applyProtection="0">
      <alignment vertical="top" wrapText="1"/>
    </xf>
    <xf numFmtId="59" fontId="4" fillId="3" borderId="10" applyNumberFormat="1" applyFont="1" applyFill="1" applyBorder="1" applyAlignment="1" applyProtection="0">
      <alignment vertical="top" wrapText="1"/>
    </xf>
    <xf numFmtId="59" fontId="4" fillId="3" borderId="8" applyNumberFormat="1" applyFont="1" applyFill="1" applyBorder="1" applyAlignment="1" applyProtection="0">
      <alignment vertical="top" wrapText="1"/>
    </xf>
    <xf numFmtId="0" fontId="4" fillId="4" borderId="8" applyNumberFormat="0" applyFont="1" applyFill="1" applyBorder="1" applyAlignment="1" applyProtection="0">
      <alignment vertical="top" wrapText="1"/>
    </xf>
    <xf numFmtId="0" fontId="4" fillId="4" borderId="9" applyNumberFormat="0" applyFont="1" applyFill="1" applyBorder="1" applyAlignment="1" applyProtection="0">
      <alignment vertical="top" wrapText="1"/>
    </xf>
    <xf numFmtId="59" fontId="0" fillId="2" borderId="10" applyNumberFormat="1" applyFont="1" applyFill="1" applyBorder="1" applyAlignment="1" applyProtection="0">
      <alignment vertical="top" wrapText="1"/>
    </xf>
    <xf numFmtId="59" fontId="0" fillId="2" borderId="8" applyNumberFormat="1" applyFont="1" applyFill="1" applyBorder="1" applyAlignment="1" applyProtection="0">
      <alignment vertical="top" wrapText="1"/>
    </xf>
    <xf numFmtId="59" fontId="6" fillId="2" borderId="10" applyNumberFormat="1" applyFont="1" applyFill="1" applyBorder="1" applyAlignment="1" applyProtection="0">
      <alignment vertical="top" wrapText="1" readingOrder="1"/>
    </xf>
    <xf numFmtId="59" fontId="6" fillId="2" borderId="8" applyNumberFormat="1" applyFont="1" applyFill="1" applyBorder="1" applyAlignment="1" applyProtection="0">
      <alignment vertical="top" wrapText="1" readingOrder="1"/>
    </xf>
    <xf numFmtId="0" fontId="4" fillId="4" borderId="8" applyNumberFormat="0" applyFont="1" applyFill="1" applyBorder="1" applyAlignment="1" applyProtection="0">
      <alignment horizontal="center" vertical="top" wrapText="1"/>
    </xf>
    <xf numFmtId="49" fontId="4" fillId="4" borderId="9" applyNumberFormat="1" applyFont="1" applyFill="1" applyBorder="1" applyAlignment="1" applyProtection="0">
      <alignment horizontal="center" vertical="top" wrapText="1"/>
    </xf>
    <xf numFmtId="10" fontId="4" fillId="4" borderId="8" applyNumberFormat="1" applyFont="1" applyFill="1" applyBorder="1" applyAlignment="1" applyProtection="0">
      <alignment vertical="top" wrapText="1"/>
    </xf>
    <xf numFmtId="49" fontId="7" fillId="4" borderId="9" applyNumberFormat="1" applyFont="1" applyFill="1" applyBorder="1" applyAlignment="1" applyProtection="0">
      <alignment vertical="top" wrapText="1"/>
    </xf>
    <xf numFmtId="59" fontId="0" fillId="2" borderId="11" applyNumberFormat="1" applyFont="1" applyFill="1" applyBorder="1" applyAlignment="1" applyProtection="0">
      <alignment vertical="top" wrapText="1"/>
    </xf>
    <xf numFmtId="59" fontId="0" fillId="2" borderId="12" applyNumberFormat="1" applyFont="1" applyFill="1" applyBorder="1" applyAlignment="1" applyProtection="0">
      <alignment vertical="top" wrapText="1"/>
    </xf>
    <xf numFmtId="59" fontId="4" fillId="2" borderId="13" applyNumberFormat="1" applyFont="1" applyFill="1" applyBorder="1" applyAlignment="1" applyProtection="0">
      <alignment vertical="top" wrapText="1"/>
    </xf>
    <xf numFmtId="59" fontId="4" fillId="2" borderId="14" applyNumberFormat="1" applyFont="1" applyFill="1" applyBorder="1" applyAlignment="1" applyProtection="0">
      <alignment vertical="top" wrapText="1"/>
    </xf>
    <xf numFmtId="49" fontId="5" fillId="4" borderId="9" applyNumberFormat="1" applyFont="1" applyFill="1" applyBorder="1" applyAlignment="1" applyProtection="0">
      <alignment horizontal="center" vertical="top" wrapText="1"/>
    </xf>
    <xf numFmtId="0" fontId="0" fillId="2" borderId="15" applyNumberFormat="0" applyFont="1" applyFill="1" applyBorder="1" applyAlignment="1" applyProtection="0">
      <alignment vertical="top" wrapText="1"/>
    </xf>
    <xf numFmtId="0" fontId="0" fillId="2" borderId="16" applyNumberFormat="0" applyFont="1" applyFill="1" applyBorder="1" applyAlignment="1" applyProtection="0">
      <alignment vertical="top" wrapText="1"/>
    </xf>
    <xf numFmtId="0" fontId="0" fillId="2" borderId="17" applyNumberFormat="0" applyFont="1" applyFill="1" applyBorder="1" applyAlignment="1" applyProtection="0">
      <alignment vertical="top" wrapText="1"/>
    </xf>
    <xf numFmtId="0" fontId="0" fillId="2" borderId="10" applyNumberFormat="0" applyFont="1" applyFill="1" applyBorder="1" applyAlignment="1" applyProtection="0">
      <alignment vertical="top" wrapText="1"/>
    </xf>
    <xf numFmtId="0" fontId="0" fillId="2" borderId="8" applyNumberFormat="0" applyFont="1" applyFill="1" applyBorder="1" applyAlignment="1" applyProtection="0">
      <alignment vertical="top" wrapText="1"/>
    </xf>
    <xf numFmtId="49" fontId="0" fillId="2" borderId="8" applyNumberFormat="1" applyFont="1" applyFill="1" applyBorder="1" applyAlignment="1" applyProtection="0">
      <alignment vertical="top" wrapText="1"/>
    </xf>
    <xf numFmtId="49" fontId="4" fillId="4" borderId="9" applyNumberFormat="1" applyFont="1" applyFill="1" applyBorder="1" applyAlignment="1" applyProtection="0">
      <alignment horizontal="right" vertical="top" wrapText="1"/>
    </xf>
    <xf numFmtId="59" fontId="0" fillId="2" borderId="18" applyNumberFormat="1" applyFont="1" applyFill="1" applyBorder="1" applyAlignment="1" applyProtection="0">
      <alignment vertical="top" wrapText="1"/>
    </xf>
    <xf numFmtId="59" fontId="0" fillId="2" borderId="19" applyNumberFormat="1" applyFont="1" applyFill="1" applyBorder="1" applyAlignment="1" applyProtection="0">
      <alignment vertical="top" wrapText="1"/>
    </xf>
    <xf numFmtId="59" fontId="0" fillId="2" borderId="20" applyNumberFormat="1" applyFont="1" applyFill="1" applyBorder="1" applyAlignment="1" applyProtection="0">
      <alignment vertical="top" wrapText="1"/>
    </xf>
    <xf numFmtId="59" fontId="0" fillId="2" borderId="21" applyNumberFormat="1" applyFont="1" applyFill="1" applyBorder="1" applyAlignment="1" applyProtection="0">
      <alignment vertical="top" wrapText="1"/>
    </xf>
    <xf numFmtId="59" fontId="0" fillId="2" borderId="22" applyNumberFormat="1" applyFont="1" applyFill="1" applyBorder="1" applyAlignment="1" applyProtection="0">
      <alignment vertical="top" wrapText="1"/>
    </xf>
    <xf numFmtId="49" fontId="4" fillId="4" borderId="23" applyNumberFormat="1" applyFont="1" applyFill="1" applyBorder="1" applyAlignment="1" applyProtection="0">
      <alignment horizontal="right" vertical="top" wrapText="1"/>
    </xf>
    <xf numFmtId="59" fontId="0" fillId="2" borderId="24" applyNumberFormat="1" applyFont="1" applyFill="1" applyBorder="1" applyAlignment="1" applyProtection="0">
      <alignment vertical="top" wrapText="1"/>
    </xf>
    <xf numFmtId="59" fontId="0" fillId="2" borderId="25" applyNumberFormat="1" applyFont="1" applyFill="1" applyBorder="1" applyAlignment="1" applyProtection="0">
      <alignment vertical="top" wrapText="1"/>
    </xf>
    <xf numFmtId="59" fontId="0" fillId="2" borderId="26" applyNumberFormat="1" applyFont="1" applyFill="1" applyBorder="1" applyAlignment="1" applyProtection="0">
      <alignment vertical="top" wrapText="1"/>
    </xf>
    <xf numFmtId="59" fontId="0" fillId="2" borderId="27" applyNumberFormat="1" applyFont="1" applyFill="1" applyBorder="1" applyAlignment="1" applyProtection="0">
      <alignment vertical="top" wrapText="1"/>
    </xf>
    <xf numFmtId="59" fontId="0" fillId="2" borderId="13" applyNumberFormat="1" applyFont="1" applyFill="1" applyBorder="1" applyAlignment="1" applyProtection="0">
      <alignment vertical="top" wrapText="1"/>
    </xf>
    <xf numFmtId="59" fontId="0" fillId="2" borderId="14" applyNumberFormat="1" applyFont="1" applyFill="1" applyBorder="1" applyAlignment="1" applyProtection="0">
      <alignment vertical="top" wrapText="1"/>
    </xf>
    <xf numFmtId="49" fontId="8" fillId="4" borderId="9" applyNumberFormat="1" applyFont="1" applyFill="1" applyBorder="1" applyAlignment="1" applyProtection="0">
      <alignment horizontal="center" vertical="top" wrapText="1"/>
    </xf>
    <xf numFmtId="49" fontId="4" fillId="5" borderId="9" applyNumberFormat="1" applyFont="1" applyFill="1" applyBorder="1" applyAlignment="1" applyProtection="0">
      <alignment vertical="top" wrapText="1"/>
    </xf>
    <xf numFmtId="49" fontId="4" fillId="6" borderId="9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2" applyNumberFormat="0" applyFont="1" applyFill="0" applyBorder="0" applyAlignment="1" applyProtection="0">
      <alignment horizontal="center" vertical="center"/>
    </xf>
    <xf numFmtId="0" fontId="4" fillId="7" borderId="28" applyNumberFormat="0" applyFont="1" applyFill="1" applyBorder="1" applyAlignment="1" applyProtection="0">
      <alignment vertical="top" wrapText="1"/>
    </xf>
    <xf numFmtId="0" fontId="0" borderId="29" applyNumberFormat="0" applyFont="1" applyFill="0" applyBorder="1" applyAlignment="1" applyProtection="0">
      <alignment vertical="top" wrapText="1"/>
    </xf>
    <xf numFmtId="49" fontId="8" borderId="30" applyNumberFormat="1" applyFont="1" applyFill="0" applyBorder="1" applyAlignment="1" applyProtection="0">
      <alignment horizontal="center" vertical="top" wrapText="1"/>
    </xf>
    <xf numFmtId="49" fontId="5" borderId="30" applyNumberFormat="1" applyFont="1" applyFill="0" applyBorder="1" applyAlignment="1" applyProtection="0">
      <alignment horizontal="center" vertical="bottom" wrapText="1"/>
    </xf>
    <xf numFmtId="0" fontId="0" borderId="30" applyNumberFormat="0" applyFont="1" applyFill="0" applyBorder="1" applyAlignment="1" applyProtection="0">
      <alignment vertical="top" wrapText="1"/>
    </xf>
    <xf numFmtId="49" fontId="0" borderId="30" applyNumberFormat="1" applyFont="1" applyFill="0" applyBorder="1" applyAlignment="1" applyProtection="0">
      <alignment vertical="top" wrapText="1"/>
    </xf>
    <xf numFmtId="59" fontId="0" borderId="30" applyNumberFormat="1" applyFont="1" applyFill="0" applyBorder="1" applyAlignment="1" applyProtection="0">
      <alignment vertical="top" wrapText="1"/>
    </xf>
    <xf numFmtId="49" fontId="4" borderId="30" applyNumberFormat="1" applyFont="1" applyFill="0" applyBorder="1" applyAlignment="1" applyProtection="0">
      <alignment vertical="top" wrapText="1"/>
    </xf>
    <xf numFmtId="59" fontId="0" borderId="31" applyNumberFormat="1" applyFont="1" applyFill="0" applyBorder="1" applyAlignment="1" applyProtection="0">
      <alignment vertical="top" wrapText="1"/>
    </xf>
    <xf numFmtId="49" fontId="4" borderId="32" applyNumberFormat="1" applyFont="1" applyFill="0" applyBorder="1" applyAlignment="1" applyProtection="0">
      <alignment horizontal="right" vertical="top" wrapText="1"/>
    </xf>
    <xf numFmtId="59" fontId="0" borderId="27" applyNumberFormat="1" applyFont="1" applyFill="0" applyBorder="1" applyAlignment="1" applyProtection="0">
      <alignment vertical="top" wrapText="1"/>
    </xf>
    <xf numFmtId="0" fontId="0" borderId="33" applyNumberFormat="0" applyFont="1" applyFill="0" applyBorder="1" applyAlignment="1" applyProtection="0">
      <alignment vertical="top" wrapText="1"/>
    </xf>
    <xf numFmtId="0" fontId="0" borderId="34" applyNumberFormat="0" applyFont="1" applyFill="0" applyBorder="1" applyAlignment="1" applyProtection="0">
      <alignment vertical="top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ffff0000"/>
      <rgbColor rgb="ff00f900"/>
      <rgbColor rgb="ffff2600"/>
      <rgbColor rgb="ffbdc0bf"/>
      <rgbColor rgb="ffa5a5a5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C61"/>
  <sheetViews>
    <sheetView workbookViewId="0" showGridLines="0" defaultGridColor="1">
      <pane topLeftCell="C5" xSplit="2" ySplit="4" activePane="bottomRight" state="frozen"/>
    </sheetView>
  </sheetViews>
  <sheetFormatPr defaultColWidth="16.3333" defaultRowHeight="19.9" customHeight="1" outlineLevelRow="0" outlineLevelCol="0"/>
  <cols>
    <col min="1" max="1" width="8.17188" style="1" customWidth="1"/>
    <col min="2" max="2" width="25.8516" style="1" customWidth="1"/>
    <col min="3" max="8" width="8.35156" style="1" customWidth="1"/>
    <col min="9" max="10" width="7.35156" style="1" customWidth="1"/>
    <col min="11" max="29" width="8.35156" style="1" customWidth="1"/>
    <col min="30" max="16384" width="16.3516" style="1" customWidth="1"/>
  </cols>
  <sheetData>
    <row r="1" ht="27.65" customHeight="1">
      <c r="A1" t="s" s="2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5"/>
      <c r="AC1" s="2"/>
    </row>
    <row r="2" ht="20.25" customHeight="1">
      <c r="A2" s="6"/>
      <c r="B2" s="6"/>
      <c r="C2" s="7">
        <v>2018</v>
      </c>
      <c r="D2" s="7">
        <v>2019</v>
      </c>
      <c r="E2" s="7">
        <v>2020</v>
      </c>
      <c r="F2" s="7">
        <v>2021</v>
      </c>
      <c r="G2" s="7">
        <v>2022</v>
      </c>
      <c r="H2" s="7">
        <v>2023</v>
      </c>
      <c r="I2" s="7">
        <v>2024</v>
      </c>
      <c r="J2" s="7">
        <f>I$2+1</f>
        <v>2025</v>
      </c>
      <c r="K2" s="7">
        <f>J$2+1</f>
        <v>2026</v>
      </c>
      <c r="L2" s="7">
        <f>K$2+1</f>
        <v>2027</v>
      </c>
      <c r="M2" s="7">
        <f>L$2+1</f>
        <v>2028</v>
      </c>
      <c r="N2" s="7">
        <f>M$2+1</f>
        <v>2029</v>
      </c>
      <c r="O2" s="7">
        <f>N$2+1</f>
        <v>2030</v>
      </c>
      <c r="P2" s="7">
        <f>O$2+1</f>
        <v>2031</v>
      </c>
      <c r="Q2" s="7">
        <f>P$2+1</f>
        <v>2032</v>
      </c>
      <c r="R2" s="7">
        <f>Q$2+1</f>
        <v>2033</v>
      </c>
      <c r="S2" s="7">
        <f>R$2+1</f>
        <v>2034</v>
      </c>
      <c r="T2" s="7">
        <f>S$2+1</f>
        <v>2035</v>
      </c>
      <c r="U2" s="7">
        <f>T$2+1</f>
        <v>2036</v>
      </c>
      <c r="V2" s="7">
        <f>U$2+1</f>
        <v>2037</v>
      </c>
      <c r="W2" s="7">
        <f>V$2+1</f>
        <v>2038</v>
      </c>
      <c r="X2" s="7">
        <f>W$2+1</f>
        <v>2039</v>
      </c>
      <c r="Y2" s="7">
        <f>X$2+1</f>
        <v>2040</v>
      </c>
      <c r="Z2" s="7">
        <f>Y$2+1</f>
        <v>2041</v>
      </c>
      <c r="AA2" s="7">
        <f>Z$2+1</f>
        <v>2042</v>
      </c>
      <c r="AB2" s="7">
        <f>AA$2+1</f>
        <v>2043</v>
      </c>
      <c r="AC2" s="7">
        <f>AB$2+1</f>
        <v>2044</v>
      </c>
    </row>
    <row r="3" ht="20.25" customHeight="1">
      <c r="A3" s="8"/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ht="56.05" customHeight="1">
      <c r="A4" t="s" s="12">
        <v>1</v>
      </c>
      <c r="B4" t="s" s="13">
        <v>2</v>
      </c>
      <c r="C4" s="14">
        <f>D4-C51</f>
        <v>163501.76</v>
      </c>
      <c r="D4" s="15">
        <f>E4-D51</f>
        <v>183430.89</v>
      </c>
      <c r="E4" s="15">
        <f>F4-E51</f>
        <v>193013.59</v>
      </c>
      <c r="F4" s="15">
        <f>G4-F51</f>
        <v>170371.29</v>
      </c>
      <c r="G4" s="15">
        <f>H4-G51</f>
        <v>160291.29</v>
      </c>
      <c r="H4" s="15">
        <f>I4-H51</f>
        <v>165186.29</v>
      </c>
      <c r="I4" s="15">
        <f>3545.94+80766.91</f>
        <v>84312.850000000006</v>
      </c>
      <c r="J4" s="15">
        <f>I4+I51</f>
        <v>84646.850000000006</v>
      </c>
      <c r="K4" s="15">
        <f>J4+J51</f>
        <v>86590.850000000006</v>
      </c>
      <c r="L4" s="15">
        <f>K4+K51</f>
        <v>93205.7990853753</v>
      </c>
      <c r="M4" s="15">
        <f>L4+L51</f>
        <v>51892.6355524581</v>
      </c>
      <c r="N4" s="15">
        <f>M4+M51</f>
        <v>53571.3523816754</v>
      </c>
      <c r="O4" s="15">
        <f>N4+N51</f>
        <v>78521.34638523</v>
      </c>
      <c r="P4" s="15">
        <f>O4+O51</f>
        <v>69496.324894124</v>
      </c>
      <c r="Q4" s="15">
        <f>P4+P51</f>
        <v>91534.403152420593</v>
      </c>
      <c r="R4" s="15">
        <f>Q4+Q51</f>
        <v>112670.021340433</v>
      </c>
      <c r="S4" s="15">
        <f>R4+R51</f>
        <v>118201.87234396</v>
      </c>
      <c r="T4" s="15">
        <f>S4+S51</f>
        <v>126455.77844291</v>
      </c>
      <c r="U4" s="15">
        <f>T4+T51</f>
        <v>81647.1931049611</v>
      </c>
      <c r="V4" s="15">
        <f>U4+U51</f>
        <v>96124.7217703277</v>
      </c>
      <c r="W4" s="15">
        <f>V4+V51</f>
        <v>96313.7537123911</v>
      </c>
      <c r="X4" s="15">
        <f>W4+W51</f>
        <v>105897.20632927</v>
      </c>
      <c r="Y4" s="15">
        <f>X4+X51</f>
        <v>111711.084153885</v>
      </c>
      <c r="Z4" s="15">
        <f>Y4+Y51</f>
        <v>116936.831897179</v>
      </c>
      <c r="AA4" s="15">
        <f>Z4+Z51</f>
        <v>93427.4925858022</v>
      </c>
      <c r="AB4" s="15">
        <f>AA4+AA51</f>
        <v>81000.9034197516</v>
      </c>
      <c r="AC4" s="15">
        <f>AB4+AB51</f>
        <v>9981.7392062622</v>
      </c>
    </row>
    <row r="5" ht="8.35" customHeight="1">
      <c r="A5" s="16"/>
      <c r="B5" s="17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</row>
    <row r="6" ht="20.05" customHeight="1">
      <c r="A6" s="16"/>
      <c r="B6" t="s" s="13">
        <v>3</v>
      </c>
      <c r="C6" s="20">
        <v>62433.06</v>
      </c>
      <c r="D6" s="21">
        <v>61065</v>
      </c>
      <c r="E6" s="21">
        <v>61119.61</v>
      </c>
      <c r="F6" s="19">
        <v>61212</v>
      </c>
      <c r="G6" s="19">
        <v>61293</v>
      </c>
      <c r="H6" s="19">
        <v>61286</v>
      </c>
      <c r="I6" s="19">
        <v>61215</v>
      </c>
      <c r="J6" s="19">
        <v>61230</v>
      </c>
      <c r="K6" s="19">
        <f>J6</f>
        <v>61230</v>
      </c>
      <c r="L6" s="19">
        <f>K6</f>
        <v>61230</v>
      </c>
      <c r="M6" s="19">
        <f>L6</f>
        <v>61230</v>
      </c>
      <c r="N6" s="19">
        <f>M6</f>
        <v>61230</v>
      </c>
      <c r="O6" s="19">
        <f>N6</f>
        <v>61230</v>
      </c>
      <c r="P6" s="19">
        <f>O6</f>
        <v>61230</v>
      </c>
      <c r="Q6" s="19">
        <f>P6</f>
        <v>61230</v>
      </c>
      <c r="R6" s="19">
        <f>Q6</f>
        <v>61230</v>
      </c>
      <c r="S6" s="19">
        <f>R6</f>
        <v>61230</v>
      </c>
      <c r="T6" s="19">
        <f>S6</f>
        <v>61230</v>
      </c>
      <c r="U6" s="19">
        <f>T6</f>
        <v>61230</v>
      </c>
      <c r="V6" s="19">
        <f>U6</f>
        <v>61230</v>
      </c>
      <c r="W6" s="19">
        <f>V6</f>
        <v>61230</v>
      </c>
      <c r="X6" s="19">
        <f>W6</f>
        <v>61230</v>
      </c>
      <c r="Y6" s="19">
        <f>X6</f>
        <v>61230</v>
      </c>
      <c r="Z6" s="19">
        <f>Y6</f>
        <v>61230</v>
      </c>
      <c r="AA6" s="19">
        <f>Z6</f>
        <v>61230</v>
      </c>
      <c r="AB6" s="19">
        <f>AA6</f>
        <v>61230</v>
      </c>
      <c r="AC6" s="19">
        <f>AB6</f>
        <v>61230</v>
      </c>
    </row>
    <row r="7" ht="26.7" customHeight="1">
      <c r="A7" s="16"/>
      <c r="B7" t="s" s="13">
        <v>4</v>
      </c>
      <c r="C7" s="18"/>
      <c r="D7" s="19"/>
      <c r="E7" s="19"/>
      <c r="F7" s="19"/>
      <c r="G7" s="19"/>
      <c r="H7" s="19"/>
      <c r="I7" s="19"/>
      <c r="J7" s="19"/>
      <c r="K7" s="19">
        <f>531*25</f>
        <v>13275</v>
      </c>
      <c r="L7" s="19">
        <f>K7*2</f>
        <v>26550</v>
      </c>
      <c r="M7" s="19">
        <f>L7</f>
        <v>26550</v>
      </c>
      <c r="N7" s="19">
        <f>M7</f>
        <v>26550</v>
      </c>
      <c r="O7" s="19">
        <f>N7</f>
        <v>26550</v>
      </c>
      <c r="P7" s="19">
        <f>O7</f>
        <v>26550</v>
      </c>
      <c r="Q7" s="19">
        <f>P7</f>
        <v>26550</v>
      </c>
      <c r="R7" s="19">
        <f>Q7</f>
        <v>26550</v>
      </c>
      <c r="S7" s="19">
        <f>R7</f>
        <v>26550</v>
      </c>
      <c r="T7" s="19">
        <f>S7</f>
        <v>26550</v>
      </c>
      <c r="U7" s="19">
        <f>T7</f>
        <v>26550</v>
      </c>
      <c r="V7" s="19">
        <f>U7</f>
        <v>26550</v>
      </c>
      <c r="W7" s="19">
        <f>V7</f>
        <v>26550</v>
      </c>
      <c r="X7" s="19">
        <f>W7</f>
        <v>26550</v>
      </c>
      <c r="Y7" s="19">
        <f>X7</f>
        <v>26550</v>
      </c>
      <c r="Z7" s="19">
        <f>Y7</f>
        <v>26550</v>
      </c>
      <c r="AA7" s="19">
        <f>Z7</f>
        <v>26550</v>
      </c>
      <c r="AB7" s="19">
        <f>AA7</f>
        <v>26550</v>
      </c>
      <c r="AC7" s="19">
        <f>AB7</f>
        <v>26550</v>
      </c>
    </row>
    <row r="8" ht="20.05" customHeight="1">
      <c r="A8" s="16"/>
      <c r="B8" t="s" s="13">
        <v>5</v>
      </c>
      <c r="C8" s="18"/>
      <c r="D8" s="19"/>
      <c r="E8" s="19"/>
      <c r="F8" s="19"/>
      <c r="G8" s="19"/>
      <c r="H8" s="19"/>
      <c r="I8" s="19">
        <v>15</v>
      </c>
      <c r="J8" s="19">
        <v>0</v>
      </c>
      <c r="K8" s="19">
        <f t="shared" si="85" ref="K8:L8">60000*0.0392</f>
        <v>2352</v>
      </c>
      <c r="L8" s="19">
        <f t="shared" si="85"/>
        <v>2352</v>
      </c>
      <c r="M8" s="19">
        <f>L4*0.7*0.03</f>
        <v>1957.321780792880</v>
      </c>
      <c r="N8" s="19">
        <f>M4*0.7*0.03</f>
        <v>1089.745346601620</v>
      </c>
      <c r="O8" s="19">
        <f>N4*0.7*0.03</f>
        <v>1124.998400015180</v>
      </c>
      <c r="P8" s="19">
        <f>O4*0.7*0.03</f>
        <v>1648.948274089830</v>
      </c>
      <c r="Q8" s="19">
        <f>P4*0.7*0.03</f>
        <v>1459.4228227766</v>
      </c>
      <c r="R8" s="19">
        <f>Q4*0.7*0.03</f>
        <v>1922.222466200830</v>
      </c>
      <c r="S8" s="19">
        <f>R4*0.7*0.03</f>
        <v>2366.070448149090</v>
      </c>
      <c r="T8" s="19">
        <f>S4*0.7*0.03</f>
        <v>2482.239319223160</v>
      </c>
      <c r="U8" s="19">
        <f>T4*0.7*0.03</f>
        <v>2655.571347301110</v>
      </c>
      <c r="V8" s="19">
        <f>U4*0.7*0.03</f>
        <v>1714.591055204180</v>
      </c>
      <c r="W8" s="19">
        <f>V4*0.7*0.03</f>
        <v>2018.619157176880</v>
      </c>
      <c r="X8" s="19">
        <f>W4*0.7*0.03</f>
        <v>2022.588827960210</v>
      </c>
      <c r="Y8" s="19">
        <f>X4*0.7*0.03</f>
        <v>2223.841332914670</v>
      </c>
      <c r="Z8" s="19">
        <f>Y4*0.7*0.03</f>
        <v>2345.932767231580</v>
      </c>
      <c r="AA8" s="19">
        <f>Z4*0.7*0.03</f>
        <v>2455.673469840760</v>
      </c>
      <c r="AB8" s="19">
        <f>AA4*0.7*0.03</f>
        <v>1961.977344301850</v>
      </c>
      <c r="AC8" s="19">
        <f>AB4*0.7*0.03</f>
        <v>1701.018971814780</v>
      </c>
    </row>
    <row r="9" ht="20.05" customHeight="1">
      <c r="A9" s="22"/>
      <c r="B9" t="s" s="23">
        <v>6</v>
      </c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</row>
    <row r="10" ht="20.05" customHeight="1">
      <c r="A10" s="24">
        <f>(I10-C10)/C10/6</f>
        <v>-0.0118675188727728</v>
      </c>
      <c r="B10" t="s" s="13">
        <v>7</v>
      </c>
      <c r="C10" s="18">
        <v>4008.42</v>
      </c>
      <c r="D10" s="19">
        <v>3987</v>
      </c>
      <c r="E10" s="19">
        <v>4183.85</v>
      </c>
      <c r="F10" s="19">
        <v>5087</v>
      </c>
      <c r="G10" s="19">
        <v>4305</v>
      </c>
      <c r="H10" s="19">
        <v>4297</v>
      </c>
      <c r="I10" s="19">
        <f>3383+340</f>
        <v>3723</v>
      </c>
      <c r="J10" s="19">
        <v>3464</v>
      </c>
      <c r="K10" s="19">
        <f>J10*(1+$A10)</f>
        <v>3422.890914624720</v>
      </c>
      <c r="L10" s="19">
        <f>K10*1.02</f>
        <v>3491.348732917210</v>
      </c>
      <c r="M10" s="19">
        <f>L10*1.02</f>
        <v>3561.175707575550</v>
      </c>
      <c r="N10" s="19">
        <f>M10*1.02</f>
        <v>3632.399221727060</v>
      </c>
      <c r="O10" s="19">
        <f>N10*1.02</f>
        <v>3705.0472061616</v>
      </c>
      <c r="P10" s="19">
        <f>O10*1.02</f>
        <v>3779.148150284830</v>
      </c>
      <c r="Q10" s="19">
        <f>P10*1.02</f>
        <v>3854.731113290530</v>
      </c>
      <c r="R10" s="19">
        <f>Q10*1.02</f>
        <v>3931.825735556340</v>
      </c>
      <c r="S10" s="19">
        <f>R10*1.02</f>
        <v>4010.462250267470</v>
      </c>
      <c r="T10" s="19">
        <f>S10*1.02</f>
        <v>4090.671495272820</v>
      </c>
      <c r="U10" s="19">
        <f>T10*1.02</f>
        <v>4172.484925178280</v>
      </c>
      <c r="V10" s="19">
        <f>U10*1.02</f>
        <v>4255.934623681850</v>
      </c>
      <c r="W10" s="19">
        <f>V10*1.02</f>
        <v>4341.053316155490</v>
      </c>
      <c r="X10" s="19">
        <f>W10*1.02</f>
        <v>4427.8743824786</v>
      </c>
      <c r="Y10" s="19">
        <f>X10*1.02</f>
        <v>4516.431870128170</v>
      </c>
      <c r="Z10" s="19">
        <f>Y10*1.02</f>
        <v>4606.760507530730</v>
      </c>
      <c r="AA10" s="19">
        <f>Z10*1.02</f>
        <v>4698.895717681340</v>
      </c>
      <c r="AB10" s="19">
        <f>AA10*1.02</f>
        <v>4792.873632034970</v>
      </c>
      <c r="AC10" s="19">
        <f>AB10*1.02</f>
        <v>4888.731104675670</v>
      </c>
    </row>
    <row r="11" ht="20.05" customHeight="1">
      <c r="A11" s="24">
        <f>(I11-C11)/C11/6</f>
        <v>-0.0106060606060606</v>
      </c>
      <c r="B11" t="s" s="13">
        <v>8</v>
      </c>
      <c r="C11" s="18">
        <v>6160</v>
      </c>
      <c r="D11" s="19">
        <v>4855.3</v>
      </c>
      <c r="E11" s="19">
        <v>5840.9</v>
      </c>
      <c r="F11" s="19">
        <v>5459</v>
      </c>
      <c r="G11" s="19">
        <v>4700</v>
      </c>
      <c r="H11" s="19">
        <v>4700</v>
      </c>
      <c r="I11" s="19">
        <v>5768</v>
      </c>
      <c r="J11" s="19">
        <v>5800</v>
      </c>
      <c r="K11" s="19">
        <f>J11*1.03</f>
        <v>5974</v>
      </c>
      <c r="L11" s="19">
        <f>K11*1.03</f>
        <v>6153.22</v>
      </c>
      <c r="M11" s="19">
        <f>L11*1.03</f>
        <v>6337.8166</v>
      </c>
      <c r="N11" s="19">
        <f>M11*1.03</f>
        <v>6527.951098</v>
      </c>
      <c r="O11" s="19">
        <f>N11*1.03</f>
        <v>6723.78963094</v>
      </c>
      <c r="P11" s="19">
        <f>O11*1.03</f>
        <v>6925.5033198682</v>
      </c>
      <c r="Q11" s="19">
        <f>P11*1.03</f>
        <v>7133.268419464250</v>
      </c>
      <c r="R11" s="19">
        <f>Q11*1.03</f>
        <v>7347.266472048180</v>
      </c>
      <c r="S11" s="19">
        <f>R11*1.03</f>
        <v>7567.684466209630</v>
      </c>
      <c r="T11" s="19">
        <f>S11*1.03</f>
        <v>7794.715000195920</v>
      </c>
      <c r="U11" s="19">
        <f>T11*1.03</f>
        <v>8028.5564502018</v>
      </c>
      <c r="V11" s="19">
        <f>U11*1.03</f>
        <v>8269.413143707850</v>
      </c>
      <c r="W11" s="19">
        <f>V11*1.03</f>
        <v>8517.495538019090</v>
      </c>
      <c r="X11" s="19">
        <f>W11*1.03</f>
        <v>8773.020404159661</v>
      </c>
      <c r="Y11" s="19">
        <f>X11*1.03</f>
        <v>9036.211016284449</v>
      </c>
      <c r="Z11" s="19">
        <f>Y11*1.03</f>
        <v>9307.297346772981</v>
      </c>
      <c r="AA11" s="19">
        <f>Z11*1.03</f>
        <v>9586.516267176170</v>
      </c>
      <c r="AB11" s="19">
        <f>AA11*1.03</f>
        <v>9874.111755191459</v>
      </c>
      <c r="AC11" s="19">
        <f>AB11*1.03</f>
        <v>10170.3351078472</v>
      </c>
    </row>
    <row r="12" ht="20.05" customHeight="1">
      <c r="A12" s="24">
        <f>(I12-C12)/C12/6</f>
        <v>-0.0372000124832257</v>
      </c>
      <c r="B12" t="s" s="13">
        <v>9</v>
      </c>
      <c r="C12" s="18">
        <v>10681</v>
      </c>
      <c r="D12" s="19">
        <v>8884</v>
      </c>
      <c r="E12" s="19">
        <v>8010.64</v>
      </c>
      <c r="F12" s="19">
        <v>9116</v>
      </c>
      <c r="G12" s="19">
        <v>7251</v>
      </c>
      <c r="H12" s="19">
        <v>8744</v>
      </c>
      <c r="I12" s="19">
        <f>376+1253+4571+2097</f>
        <v>8297</v>
      </c>
      <c r="J12" s="19">
        <v>8499</v>
      </c>
      <c r="K12" s="19">
        <f>J12*1.03</f>
        <v>8753.969999999999</v>
      </c>
      <c r="L12" s="19">
        <f>K12*1.03</f>
        <v>9016.589099999999</v>
      </c>
      <c r="M12" s="19">
        <f>L12*1.03</f>
        <v>9287.086773000001</v>
      </c>
      <c r="N12" s="19">
        <f>M12*1.03</f>
        <v>9565.699376189999</v>
      </c>
      <c r="O12" s="19">
        <f>N12*1.03</f>
        <v>9852.670357475699</v>
      </c>
      <c r="P12" s="19">
        <f>O12*1.03</f>
        <v>10148.2504682</v>
      </c>
      <c r="Q12" s="19">
        <f>P12*1.03</f>
        <v>10452.697982246</v>
      </c>
      <c r="R12" s="19">
        <f>Q12*1.03</f>
        <v>10766.2789217134</v>
      </c>
      <c r="S12" s="19">
        <f>R12*1.03</f>
        <v>11089.2672893648</v>
      </c>
      <c r="T12" s="19">
        <f>S12*1.03</f>
        <v>11421.9453080457</v>
      </c>
      <c r="U12" s="19">
        <f>T12*1.03</f>
        <v>11764.6036672871</v>
      </c>
      <c r="V12" s="19">
        <f>U12*1.03</f>
        <v>12117.5417773057</v>
      </c>
      <c r="W12" s="19">
        <f>V12*1.03</f>
        <v>12481.0680306249</v>
      </c>
      <c r="X12" s="19">
        <f>W12*1.03</f>
        <v>12855.5000715436</v>
      </c>
      <c r="Y12" s="19">
        <f>X12*1.03</f>
        <v>13241.1650736899</v>
      </c>
      <c r="Z12" s="19">
        <f>Y12*1.03</f>
        <v>13638.4000259006</v>
      </c>
      <c r="AA12" s="19">
        <f>Z12*1.03</f>
        <v>14047.5520266776</v>
      </c>
      <c r="AB12" s="19">
        <f>AA12*1.03</f>
        <v>14468.9785874779</v>
      </c>
      <c r="AC12" s="19">
        <f>AB12*1.03</f>
        <v>14903.0479451022</v>
      </c>
    </row>
    <row r="13" ht="20.05" customHeight="1">
      <c r="A13" s="24">
        <f>(I13-C13)/C13/6</f>
        <v>-0.0157486191968951</v>
      </c>
      <c r="B13" t="s" s="13">
        <v>10</v>
      </c>
      <c r="C13" s="18">
        <f>8393-C11</f>
        <v>2233</v>
      </c>
      <c r="D13" s="19">
        <v>11788</v>
      </c>
      <c r="E13" s="19">
        <f>30000-E11-E47</f>
        <v>3605.51</v>
      </c>
      <c r="F13" s="19">
        <f>5825-3625</f>
        <v>2200</v>
      </c>
      <c r="G13" s="19">
        <f>10218-4700-4134</f>
        <v>1384</v>
      </c>
      <c r="H13" s="19">
        <f>83286-56000-46239+26480</f>
        <v>7527</v>
      </c>
      <c r="I13" s="19">
        <f>190+457+1375</f>
        <v>2022</v>
      </c>
      <c r="J13" s="19">
        <f>9900-J11-J14</f>
        <v>1400</v>
      </c>
      <c r="K13" s="19">
        <f>J13*1.03</f>
        <v>1442</v>
      </c>
      <c r="L13" s="19">
        <f>K13*1.03</f>
        <v>1485.26</v>
      </c>
      <c r="M13" s="19">
        <f>L13*1.03</f>
        <v>1529.8178</v>
      </c>
      <c r="N13" s="19">
        <f>M13*1.03</f>
        <v>1575.712334</v>
      </c>
      <c r="O13" s="19">
        <f>N13*1.03</f>
        <v>1622.98370402</v>
      </c>
      <c r="P13" s="19">
        <f>O13*1.03</f>
        <v>1671.6732151406</v>
      </c>
      <c r="Q13" s="19">
        <f>P13*1.03</f>
        <v>1721.823411594820</v>
      </c>
      <c r="R13" s="19">
        <f>Q13*1.03</f>
        <v>1773.478113942660</v>
      </c>
      <c r="S13" s="19">
        <f>R13*1.03</f>
        <v>1826.682457360940</v>
      </c>
      <c r="T13" s="19">
        <f>S13*1.03</f>
        <v>1881.482931081770</v>
      </c>
      <c r="U13" s="19">
        <f>T13*1.03</f>
        <v>1937.927419014220</v>
      </c>
      <c r="V13" s="19">
        <f>U13*1.03</f>
        <v>1996.065241584650</v>
      </c>
      <c r="W13" s="19">
        <f>V13*1.03</f>
        <v>2055.947198832190</v>
      </c>
      <c r="X13" s="19">
        <f>W13*1.03</f>
        <v>2117.625614797160</v>
      </c>
      <c r="Y13" s="19">
        <f>X13*1.03</f>
        <v>2181.154383241070</v>
      </c>
      <c r="Z13" s="19">
        <f>Y13*1.03</f>
        <v>2246.5890147383</v>
      </c>
      <c r="AA13" s="19">
        <f>Z13*1.03</f>
        <v>2313.986685180450</v>
      </c>
      <c r="AB13" s="19">
        <f>AA13*1.03</f>
        <v>2383.406285735860</v>
      </c>
      <c r="AC13" s="19">
        <f>AB13*1.03</f>
        <v>2454.908474307940</v>
      </c>
    </row>
    <row r="14" ht="26.7" customHeight="1">
      <c r="A14" s="24"/>
      <c r="B14" t="s" s="13">
        <v>11</v>
      </c>
      <c r="C14" s="18"/>
      <c r="D14" s="19"/>
      <c r="E14" s="19"/>
      <c r="F14" s="19"/>
      <c r="G14" s="19"/>
      <c r="H14" s="19"/>
      <c r="I14" s="19">
        <v>2729</v>
      </c>
      <c r="J14" s="19">
        <v>2700</v>
      </c>
      <c r="K14" s="19"/>
      <c r="L14" s="19">
        <v>2500</v>
      </c>
      <c r="M14" s="19"/>
      <c r="N14" s="19">
        <v>2700</v>
      </c>
      <c r="O14" s="19"/>
      <c r="P14" s="19">
        <v>2700</v>
      </c>
      <c r="Q14" s="19"/>
      <c r="R14" s="19">
        <v>2800</v>
      </c>
      <c r="S14" s="19"/>
      <c r="T14" s="19">
        <v>2800</v>
      </c>
      <c r="U14" s="19"/>
      <c r="V14" s="19">
        <v>2800</v>
      </c>
      <c r="W14" s="19"/>
      <c r="X14" s="19">
        <v>2900</v>
      </c>
      <c r="Y14" s="19"/>
      <c r="Z14" s="19">
        <v>2900</v>
      </c>
      <c r="AA14" s="19"/>
      <c r="AB14" s="19">
        <v>2900</v>
      </c>
      <c r="AC14" s="19"/>
    </row>
    <row r="15" ht="20.05" customHeight="1">
      <c r="A15" s="24">
        <f>(I15-C15)/C15/6</f>
        <v>0.08720302375809939</v>
      </c>
      <c r="B15" t="s" s="13">
        <v>12</v>
      </c>
      <c r="C15" s="18">
        <v>7408</v>
      </c>
      <c r="D15" s="19">
        <v>8912</v>
      </c>
      <c r="E15" s="19">
        <f>30066.32-16655</f>
        <v>13411.32</v>
      </c>
      <c r="F15" s="19">
        <f>15637-2200-2841</f>
        <v>10596</v>
      </c>
      <c r="G15" s="19">
        <f>18600-2433-1080</f>
        <v>15087</v>
      </c>
      <c r="H15" s="19">
        <f>24089-4278-5742</f>
        <v>14069</v>
      </c>
      <c r="I15" s="19">
        <f>14284-3000</f>
        <v>11284</v>
      </c>
      <c r="J15" s="19">
        <f>16073-4000</f>
        <v>12073</v>
      </c>
      <c r="K15" s="19">
        <f>J15*1.03</f>
        <v>12435.19</v>
      </c>
      <c r="L15" s="19">
        <f>K15*1.03</f>
        <v>12808.2457</v>
      </c>
      <c r="M15" s="19">
        <f>L15*1.03</f>
        <v>13192.493071</v>
      </c>
      <c r="N15" s="19">
        <f>M15*1.03</f>
        <v>13588.26786313</v>
      </c>
      <c r="O15" s="19">
        <f>N15*1.03</f>
        <v>13995.9158990239</v>
      </c>
      <c r="P15" s="19">
        <f>O15*1.03</f>
        <v>14415.7933759946</v>
      </c>
      <c r="Q15" s="19">
        <f>P15*1.03</f>
        <v>14848.2671772744</v>
      </c>
      <c r="R15" s="19">
        <f>Q15*1.03</f>
        <v>15293.7151925926</v>
      </c>
      <c r="S15" s="19">
        <f>R15*1.03</f>
        <v>15752.5266483704</v>
      </c>
      <c r="T15" s="19">
        <f>S15*1.03</f>
        <v>16225.1024478215</v>
      </c>
      <c r="U15" s="19">
        <f>T15*1.03</f>
        <v>16711.8555212561</v>
      </c>
      <c r="V15" s="19">
        <f>U15*1.03</f>
        <v>17213.2111868938</v>
      </c>
      <c r="W15" s="19">
        <f>V15*1.03</f>
        <v>17729.6075225006</v>
      </c>
      <c r="X15" s="19">
        <f>W15*1.03</f>
        <v>18261.4957481756</v>
      </c>
      <c r="Y15" s="19">
        <f>X15*1.03</f>
        <v>18809.3406206209</v>
      </c>
      <c r="Z15" s="19">
        <f>Y15*1.03</f>
        <v>19373.6208392395</v>
      </c>
      <c r="AA15" s="19">
        <f>Z15*1.03</f>
        <v>19954.8294644167</v>
      </c>
      <c r="AB15" s="19">
        <f>AA15*1.03</f>
        <v>20553.4743483492</v>
      </c>
      <c r="AC15" s="19">
        <f>AB15*1.03</f>
        <v>21170.0785787997</v>
      </c>
    </row>
    <row r="16" ht="20.05" customHeight="1">
      <c r="A16" s="24"/>
      <c r="B16" t="s" s="13">
        <v>13</v>
      </c>
      <c r="C16" s="18"/>
      <c r="D16" s="19"/>
      <c r="E16" s="19"/>
      <c r="F16" s="19">
        <f>2965+2841</f>
        <v>5806</v>
      </c>
      <c r="G16" s="19">
        <f>2433+1080</f>
        <v>3513</v>
      </c>
      <c r="H16" s="19">
        <f>2550+3192</f>
        <v>5742</v>
      </c>
      <c r="I16" s="19">
        <v>3000</v>
      </c>
      <c r="J16" s="19">
        <v>4000</v>
      </c>
      <c r="K16" s="19"/>
      <c r="L16" s="19">
        <v>3000</v>
      </c>
      <c r="M16" s="19"/>
      <c r="N16" s="19">
        <v>3000</v>
      </c>
      <c r="O16" s="19"/>
      <c r="P16" s="19">
        <v>3000</v>
      </c>
      <c r="Q16" s="19"/>
      <c r="R16" s="19">
        <v>3000</v>
      </c>
      <c r="S16" s="19"/>
      <c r="T16" s="19">
        <v>3000</v>
      </c>
      <c r="U16" s="19"/>
      <c r="V16" s="19">
        <v>3100</v>
      </c>
      <c r="W16" s="19"/>
      <c r="X16" s="19">
        <v>3300</v>
      </c>
      <c r="Y16" s="19"/>
      <c r="Z16" s="19">
        <v>3300</v>
      </c>
      <c r="AA16" s="19"/>
      <c r="AB16" s="19">
        <v>3500</v>
      </c>
      <c r="AC16" s="19"/>
    </row>
    <row r="17" ht="24.7" customHeight="1">
      <c r="A17" s="24"/>
      <c r="B17" t="s" s="25">
        <v>14</v>
      </c>
      <c r="C17" s="18"/>
      <c r="D17" s="19"/>
      <c r="E17" s="19">
        <v>16655</v>
      </c>
      <c r="F17" s="19">
        <f>5747+2200</f>
        <v>7947</v>
      </c>
      <c r="G17" s="19"/>
      <c r="H17" s="19">
        <v>4278</v>
      </c>
      <c r="I17" s="19"/>
      <c r="J17" s="19"/>
      <c r="K17" s="19">
        <v>4364</v>
      </c>
      <c r="L17" s="19"/>
      <c r="M17" s="19">
        <v>4500</v>
      </c>
      <c r="N17" s="19"/>
      <c r="O17" s="19">
        <v>4500</v>
      </c>
      <c r="P17" s="19"/>
      <c r="Q17" s="19">
        <v>4600</v>
      </c>
      <c r="R17" s="19"/>
      <c r="S17" s="19">
        <v>4600</v>
      </c>
      <c r="T17" s="19"/>
      <c r="U17" s="19">
        <v>4650</v>
      </c>
      <c r="V17" s="19"/>
      <c r="W17" s="19">
        <v>4650</v>
      </c>
      <c r="X17" s="19"/>
      <c r="Y17" s="19">
        <v>4700</v>
      </c>
      <c r="Z17" s="19"/>
      <c r="AA17" s="19">
        <v>4800</v>
      </c>
      <c r="AB17" s="19"/>
      <c r="AC17" s="19"/>
    </row>
    <row r="18" ht="26.7" customHeight="1">
      <c r="A18" s="24">
        <f>(I18-C18)/C18/6</f>
        <v>0.0948722174729395</v>
      </c>
      <c r="B18" t="s" s="13">
        <v>15</v>
      </c>
      <c r="C18" s="18">
        <v>12013.51</v>
      </c>
      <c r="D18" s="19">
        <v>13056</v>
      </c>
      <c r="E18" s="19">
        <v>11501.1</v>
      </c>
      <c r="F18" s="19">
        <v>13062</v>
      </c>
      <c r="G18" s="19">
        <v>16024</v>
      </c>
      <c r="H18" s="19">
        <f>21743-3791</f>
        <v>17952</v>
      </c>
      <c r="I18" s="19">
        <f>1050+17802</f>
        <v>18852</v>
      </c>
      <c r="J18" s="19">
        <v>21350</v>
      </c>
      <c r="K18" s="19">
        <v>21350</v>
      </c>
      <c r="L18" s="19">
        <f>K18*1.03</f>
        <v>21990.5</v>
      </c>
      <c r="M18" s="19">
        <f>L18*1.03</f>
        <v>22650.215</v>
      </c>
      <c r="N18" s="19">
        <f>M18*1.03</f>
        <v>23329.72145</v>
      </c>
      <c r="O18" s="19">
        <f>N18*1.03</f>
        <v>24029.6130935</v>
      </c>
      <c r="P18" s="19">
        <f>O18*1.03</f>
        <v>24750.501486305</v>
      </c>
      <c r="Q18" s="19">
        <f>P18*1.03</f>
        <v>25493.0165308942</v>
      </c>
      <c r="R18" s="19">
        <f>Q18*1.03</f>
        <v>26257.807026821</v>
      </c>
      <c r="S18" s="19">
        <f>R18*1.03</f>
        <v>27045.5412376256</v>
      </c>
      <c r="T18" s="19">
        <f>S18*1.03</f>
        <v>27856.9074747544</v>
      </c>
      <c r="U18" s="19">
        <f>T18*1.03</f>
        <v>28692.614698997</v>
      </c>
      <c r="V18" s="19">
        <f>U18*1.03</f>
        <v>29553.3931399669</v>
      </c>
      <c r="W18" s="19">
        <f>V18*1.03</f>
        <v>30439.9949341659</v>
      </c>
      <c r="X18" s="19">
        <f>W18*1.03</f>
        <v>31353.1947821909</v>
      </c>
      <c r="Y18" s="19">
        <f>X18*1.03</f>
        <v>32293.7906256566</v>
      </c>
      <c r="Z18" s="19">
        <f>Y18*1.03</f>
        <v>33262.6043444263</v>
      </c>
      <c r="AA18" s="19">
        <f>Z18*1.03</f>
        <v>34260.4824747591</v>
      </c>
      <c r="AB18" s="19">
        <f>AA18*1.03</f>
        <v>35288.2969490019</v>
      </c>
      <c r="AC18" s="19">
        <f>AB18*1.03</f>
        <v>36346.945857472</v>
      </c>
    </row>
    <row r="19" ht="20.05" customHeight="1">
      <c r="A19" s="24"/>
      <c r="B19" s="17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ht="32.05" customHeight="1">
      <c r="A20" s="24"/>
      <c r="B20" t="s" s="13">
        <v>16</v>
      </c>
      <c r="C20" s="28">
        <f>C8+C6+C7-SUM(C9:C19)</f>
        <v>19929.13</v>
      </c>
      <c r="D20" s="29">
        <f>D8+D6+D7-SUM(D9:D19)</f>
        <v>9582.700000000001</v>
      </c>
      <c r="E20" s="29">
        <f>E8+E6+E7-SUM(E9:E19)</f>
        <v>-2088.71</v>
      </c>
      <c r="F20" s="29">
        <f>F8+F6+F7-SUM(F9:F19)</f>
        <v>1939</v>
      </c>
      <c r="G20" s="29">
        <f>G8+G6+G7-SUM(G9:G19)</f>
        <v>9029</v>
      </c>
      <c r="H20" s="29">
        <f>H8+H6+H7-SUM(H9:H19)</f>
        <v>-6023</v>
      </c>
      <c r="I20" s="29">
        <f>I8+I6+I7-SUM(I9:I19)</f>
        <v>5555</v>
      </c>
      <c r="J20" s="29">
        <f>J8+J6+J7-SUM(J9:J19)</f>
        <v>1944</v>
      </c>
      <c r="K20" s="29">
        <f>K8+K6+K7-SUM(K9:K19)</f>
        <v>19114.9490853753</v>
      </c>
      <c r="L20" s="29">
        <f>L8+L6+L7-SUM(L9:L19)</f>
        <v>29686.8364670828</v>
      </c>
      <c r="M20" s="29">
        <f>M8+M6+M7-SUM(M9:M19)</f>
        <v>28678.7168292173</v>
      </c>
      <c r="N20" s="29">
        <f>N8+N6+N7-SUM(N9:N19)</f>
        <v>24949.9940035546</v>
      </c>
      <c r="O20" s="29">
        <f>O8+O6+O7-SUM(O9:O19)</f>
        <v>24474.978508894</v>
      </c>
      <c r="P20" s="29">
        <f>P8+P6+P7-SUM(P9:P19)</f>
        <v>22038.0782582966</v>
      </c>
      <c r="Q20" s="29">
        <f>Q8+Q6+Q7-SUM(Q9:Q19)</f>
        <v>21135.6181880124</v>
      </c>
      <c r="R20" s="29">
        <f>R8+R6+R7-SUM(R9:R19)</f>
        <v>18531.8510035267</v>
      </c>
      <c r="S20" s="29">
        <f>S8+S6+S7-SUM(S9:S19)</f>
        <v>18253.9060989503</v>
      </c>
      <c r="T20" s="29">
        <f>T8+T6+T7-SUM(T9:T19)</f>
        <v>15191.4146620511</v>
      </c>
      <c r="U20" s="29">
        <f>U8+U6+U7-SUM(U9:U19)</f>
        <v>14477.5286653666</v>
      </c>
      <c r="V20" s="29">
        <f>V8+V6+V7-SUM(V9:V19)</f>
        <v>10189.0319420634</v>
      </c>
      <c r="W20" s="29">
        <f>W8+W6+W7-SUM(W9:W19)</f>
        <v>9583.452616878711</v>
      </c>
      <c r="X20" s="29">
        <f>X8+X6+X7-SUM(X9:X19)</f>
        <v>5813.877824614690</v>
      </c>
      <c r="Y20" s="29">
        <f>Y8+Y6+Y7-SUM(Y9:Y19)</f>
        <v>5225.747743293580</v>
      </c>
      <c r="Z20" s="29">
        <f>Z8+Z6+Z7-SUM(Z9:Z19)</f>
        <v>1490.660688623170</v>
      </c>
      <c r="AA20" s="29">
        <f>AA8+AA6+AA7-SUM(AA9:AA19)</f>
        <v>573.4108339493999</v>
      </c>
      <c r="AB20" s="29">
        <f>AB8+AB6+AB7-SUM(AB9:AB19)</f>
        <v>-4019.164213489440</v>
      </c>
      <c r="AC20" s="29">
        <f>AC8+AC6+AC7-SUM(AC9:AC19)</f>
        <v>-453.028096389930</v>
      </c>
    </row>
    <row r="21" ht="20.05" customHeight="1">
      <c r="A21" s="24"/>
      <c r="B21" s="17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</row>
    <row r="22" ht="20.05" customHeight="1">
      <c r="A22" s="24"/>
      <c r="B22" t="s" s="30">
        <v>17</v>
      </c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</row>
    <row r="23" ht="20.05" customHeight="1">
      <c r="A23" s="24"/>
      <c r="B23" t="s" s="13">
        <v>18</v>
      </c>
      <c r="C23" s="18"/>
      <c r="D23" s="19"/>
      <c r="E23" s="19"/>
      <c r="F23" s="19">
        <v>3625</v>
      </c>
      <c r="G23" s="19"/>
      <c r="H23" s="19"/>
      <c r="I23" s="19"/>
      <c r="J23" s="19"/>
      <c r="K23" s="19">
        <v>4000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</row>
    <row r="24" ht="20.05" customHeight="1">
      <c r="A24" s="24"/>
      <c r="B24" t="s" s="13">
        <v>19</v>
      </c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>
        <v>60000</v>
      </c>
      <c r="U24" s="19"/>
      <c r="V24" s="19"/>
      <c r="W24" s="19"/>
      <c r="X24" s="19"/>
      <c r="Y24" s="19"/>
      <c r="Z24" s="19"/>
      <c r="AA24" s="19"/>
      <c r="AB24" s="19"/>
      <c r="AC24" s="19"/>
    </row>
    <row r="25" ht="26.7" customHeight="1">
      <c r="A25" s="24"/>
      <c r="B25" t="s" s="13">
        <v>20</v>
      </c>
      <c r="C25" s="18"/>
      <c r="D25" s="19"/>
      <c r="E25" s="19"/>
      <c r="F25" s="19"/>
      <c r="G25" s="19"/>
      <c r="H25" s="19"/>
      <c r="I25" s="19"/>
      <c r="J25" s="19"/>
      <c r="K25" s="19">
        <v>3500</v>
      </c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</row>
    <row r="26" ht="20.05" customHeight="1">
      <c r="A26" s="24"/>
      <c r="B26" t="s" s="13">
        <v>21</v>
      </c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>
        <v>10000</v>
      </c>
      <c r="T26" s="19"/>
      <c r="U26" s="19"/>
      <c r="V26" s="19"/>
      <c r="W26" s="19"/>
      <c r="X26" s="19"/>
      <c r="Y26" s="19"/>
      <c r="Z26" s="19"/>
      <c r="AA26" s="19"/>
      <c r="AB26" s="19"/>
      <c r="AC26" s="19"/>
    </row>
    <row r="27" ht="32.05" customHeight="1">
      <c r="A27" s="24"/>
      <c r="B27" t="s" s="13">
        <v>22</v>
      </c>
      <c r="C27" s="18"/>
      <c r="D27" s="19"/>
      <c r="E27" s="19"/>
      <c r="F27" s="19"/>
      <c r="G27" s="19"/>
      <c r="H27" s="19"/>
      <c r="I27" s="19"/>
      <c r="J27" s="19"/>
      <c r="K27" s="19">
        <f>8*400</f>
        <v>3200</v>
      </c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>
        <v>4000</v>
      </c>
      <c r="AB27" s="19"/>
      <c r="AC27" s="19"/>
    </row>
    <row r="28" ht="20.05" customHeight="1">
      <c r="A28" s="24"/>
      <c r="B28" t="s" s="13">
        <v>23</v>
      </c>
      <c r="C28" s="18"/>
      <c r="D28" s="19"/>
      <c r="E28" s="19"/>
      <c r="F28" s="19"/>
      <c r="G28" s="19"/>
      <c r="H28" s="19"/>
      <c r="I28" s="19"/>
      <c r="J28" s="19"/>
      <c r="K28" s="19"/>
      <c r="L28" s="19">
        <v>20000</v>
      </c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</row>
    <row r="29" ht="20.05" customHeight="1">
      <c r="A29" s="24"/>
      <c r="B29" t="s" s="13">
        <v>24</v>
      </c>
      <c r="C29" s="18"/>
      <c r="D29" s="19"/>
      <c r="E29" s="19"/>
      <c r="F29" s="19"/>
      <c r="G29" s="19"/>
      <c r="H29" s="19">
        <f>46239.44-26480-4700</f>
        <v>15059.44</v>
      </c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>
        <v>20000</v>
      </c>
      <c r="AC29" s="19"/>
    </row>
    <row r="30" ht="20.05" customHeight="1">
      <c r="A30" s="24"/>
      <c r="B30" t="s" s="13">
        <v>25</v>
      </c>
      <c r="C30" s="18"/>
      <c r="D30" s="19"/>
      <c r="E30" s="19"/>
      <c r="F30" s="19"/>
      <c r="G30" s="19"/>
      <c r="H30" s="19"/>
      <c r="I30" s="19"/>
      <c r="J30" s="19"/>
      <c r="K30" s="31"/>
      <c r="L30" s="19">
        <v>25000</v>
      </c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</row>
    <row r="31" ht="20.05" customHeight="1">
      <c r="A31" s="24"/>
      <c r="B31" t="s" s="13">
        <v>26</v>
      </c>
      <c r="C31" s="18"/>
      <c r="D31" s="19"/>
      <c r="E31" s="19"/>
      <c r="F31" s="19"/>
      <c r="G31" s="19"/>
      <c r="H31" s="19"/>
      <c r="I31" s="19"/>
      <c r="J31" s="19"/>
      <c r="K31" s="32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>
        <v>9000</v>
      </c>
      <c r="AB31" s="19"/>
      <c r="AC31" s="19"/>
    </row>
    <row r="32" ht="20.05" customHeight="1">
      <c r="A32" s="24"/>
      <c r="B32" t="s" s="13">
        <v>27</v>
      </c>
      <c r="C32" s="18"/>
      <c r="D32" s="19"/>
      <c r="E32" s="19"/>
      <c r="F32" s="19"/>
      <c r="G32" s="19"/>
      <c r="H32" s="19"/>
      <c r="I32" s="19"/>
      <c r="J32" s="19"/>
      <c r="K32" s="32"/>
      <c r="L32" s="19">
        <v>13000</v>
      </c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</row>
    <row r="33" ht="20.05" customHeight="1">
      <c r="A33" s="24"/>
      <c r="B33" t="s" s="13">
        <v>28</v>
      </c>
      <c r="C33" s="18"/>
      <c r="D33" s="19"/>
      <c r="E33" s="19"/>
      <c r="F33" s="19"/>
      <c r="G33" s="19"/>
      <c r="H33" s="19"/>
      <c r="I33" s="19"/>
      <c r="J33" s="19"/>
      <c r="K33" s="33"/>
      <c r="L33" s="19">
        <v>1000</v>
      </c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</row>
    <row r="34" ht="20.05" customHeight="1">
      <c r="A34" s="24"/>
      <c r="B34" t="s" s="13">
        <v>29</v>
      </c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>
        <v>25000</v>
      </c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</row>
    <row r="35" ht="20.05" customHeight="1">
      <c r="A35" s="24"/>
      <c r="B35" t="s" s="13">
        <v>30</v>
      </c>
      <c r="C35" s="18"/>
      <c r="D35" s="19"/>
      <c r="E35" s="19"/>
      <c r="F35" s="19">
        <v>8394</v>
      </c>
      <c r="G35" s="19"/>
      <c r="H35" s="19">
        <v>3791</v>
      </c>
      <c r="I35" s="19"/>
      <c r="J35" s="19"/>
      <c r="K35" s="19"/>
      <c r="L35" s="19"/>
      <c r="M35" s="19"/>
      <c r="N35" s="19"/>
      <c r="O35" s="19"/>
      <c r="P35" s="19"/>
      <c r="Q35" s="19"/>
      <c r="R35" s="19">
        <v>13000</v>
      </c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</row>
    <row r="36" ht="20.05" customHeight="1">
      <c r="A36" s="24"/>
      <c r="B36" t="s" s="13">
        <v>31</v>
      </c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>
        <v>10000</v>
      </c>
      <c r="W36" s="19"/>
      <c r="X36" s="19"/>
      <c r="Y36" s="19"/>
      <c r="Z36" s="19"/>
      <c r="AA36" s="19"/>
      <c r="AB36" s="19"/>
      <c r="AC36" s="19"/>
    </row>
    <row r="37" ht="20.05" customHeight="1">
      <c r="A37" s="24"/>
      <c r="B37" t="s" s="13">
        <v>32</v>
      </c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>
        <v>5500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</row>
    <row r="38" ht="20.05" customHeight="1">
      <c r="A38" s="24"/>
      <c r="B38" t="s" s="13">
        <v>33</v>
      </c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>
        <v>3000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</row>
    <row r="39" ht="20.05" customHeight="1">
      <c r="A39" s="24"/>
      <c r="B39" t="s" s="13">
        <v>34</v>
      </c>
      <c r="C39" s="34"/>
      <c r="D39" s="35"/>
      <c r="E39" s="35"/>
      <c r="F39" s="35"/>
      <c r="G39" s="35"/>
      <c r="H39" s="36"/>
      <c r="I39" s="19"/>
      <c r="J39" s="19"/>
      <c r="K39" s="19"/>
      <c r="L39" s="19"/>
      <c r="M39" s="19">
        <v>20000</v>
      </c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</row>
    <row r="40" ht="26.7" customHeight="1">
      <c r="A40" s="24"/>
      <c r="B40" t="s" s="13">
        <v>35</v>
      </c>
      <c r="C40" s="34"/>
      <c r="D40" s="35"/>
      <c r="E40" s="35"/>
      <c r="F40" s="35"/>
      <c r="G40" s="35"/>
      <c r="H40" s="36"/>
      <c r="I40" s="19"/>
      <c r="J40" s="19"/>
      <c r="K40" s="19"/>
      <c r="L40" s="19"/>
      <c r="M40" s="19">
        <v>7000</v>
      </c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</row>
    <row r="41" ht="20.85" customHeight="1">
      <c r="A41" s="24"/>
      <c r="B41" t="s" s="13">
        <v>36</v>
      </c>
      <c r="C41" s="18"/>
      <c r="D41" s="19"/>
      <c r="E41" s="19"/>
      <c r="F41" s="19"/>
      <c r="G41" s="19"/>
      <c r="H41" s="19"/>
      <c r="I41" s="19">
        <v>5221</v>
      </c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>
        <v>7000</v>
      </c>
      <c r="AC41" s="19"/>
    </row>
    <row r="42" ht="20.05" customHeight="1">
      <c r="A42" s="24"/>
      <c r="B42" t="s" s="13">
        <v>37</v>
      </c>
      <c r="C42" s="34"/>
      <c r="D42" s="35"/>
      <c r="E42" s="35"/>
      <c r="F42" s="35"/>
      <c r="G42" s="35"/>
      <c r="H42" t="s" s="36">
        <v>38</v>
      </c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</row>
    <row r="43" ht="20.05" customHeight="1">
      <c r="A43" s="24"/>
      <c r="B43" t="s" s="13">
        <v>39</v>
      </c>
      <c r="C43" s="18"/>
      <c r="D43" s="19"/>
      <c r="E43" s="19"/>
      <c r="F43" s="19"/>
      <c r="G43" s="19"/>
      <c r="H43" s="19">
        <v>56000</v>
      </c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>
        <v>40000</v>
      </c>
      <c r="AC43" s="19"/>
    </row>
    <row r="44" ht="26.7" customHeight="1">
      <c r="A44" s="24"/>
      <c r="B44" t="s" s="13">
        <v>40</v>
      </c>
      <c r="C44" s="18"/>
      <c r="D44" s="19"/>
      <c r="E44" s="19"/>
      <c r="F44" s="19"/>
      <c r="G44" s="19"/>
      <c r="H44" s="19"/>
      <c r="I44" s="19"/>
      <c r="J44" s="19"/>
      <c r="K44" s="19"/>
      <c r="L44" s="19">
        <v>10000</v>
      </c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</row>
    <row r="45" ht="20.05" customHeight="1">
      <c r="A45" s="24"/>
      <c r="B45" t="s" s="13">
        <v>41</v>
      </c>
      <c r="C45" s="18"/>
      <c r="D45" s="19"/>
      <c r="E45" s="19"/>
      <c r="F45" s="19"/>
      <c r="G45" s="19"/>
      <c r="H45" s="19"/>
      <c r="I45" s="19"/>
      <c r="J45" s="19"/>
      <c r="K45" s="19"/>
      <c r="L45" s="19">
        <v>2000</v>
      </c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</row>
    <row r="46" ht="20.05" customHeight="1">
      <c r="A46" s="24"/>
      <c r="B46" t="s" s="13">
        <v>42</v>
      </c>
      <c r="C46" s="18"/>
      <c r="D46" s="19"/>
      <c r="E46" s="19"/>
      <c r="F46" s="19"/>
      <c r="G46" s="19"/>
      <c r="H46" s="19"/>
      <c r="I46" s="19"/>
      <c r="J46" s="19"/>
      <c r="K46" s="19">
        <v>400</v>
      </c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</row>
    <row r="47" ht="20.05" customHeight="1">
      <c r="A47" s="24"/>
      <c r="B47" t="s" s="13">
        <v>43</v>
      </c>
      <c r="C47" s="18"/>
      <c r="D47" s="19"/>
      <c r="E47" s="19">
        <v>20553.59</v>
      </c>
      <c r="F47" s="19"/>
      <c r="G47" s="19">
        <v>4134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>
        <v>25000</v>
      </c>
      <c r="AA47" s="19"/>
      <c r="AB47" s="19"/>
      <c r="AC47" s="19"/>
    </row>
    <row r="48" ht="20.05" customHeight="1">
      <c r="A48" s="24"/>
      <c r="B48" t="s" s="13">
        <v>44</v>
      </c>
      <c r="C48" s="26"/>
      <c r="D48" s="27"/>
      <c r="E48" s="27"/>
      <c r="F48" s="27"/>
      <c r="G48" s="27"/>
      <c r="H48" s="27"/>
      <c r="I48" s="27"/>
      <c r="J48" s="27"/>
      <c r="K48" s="27">
        <v>1400</v>
      </c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ht="21.05" customHeight="1">
      <c r="A49" s="24"/>
      <c r="B49" t="s" s="37">
        <v>45</v>
      </c>
      <c r="C49" s="38">
        <f>SUM(C23:C48)</f>
        <v>0</v>
      </c>
      <c r="D49" s="38">
        <f>SUM(D23:D48)</f>
        <v>0</v>
      </c>
      <c r="E49" s="38">
        <f>SUM(E23:E48)</f>
        <v>20553.59</v>
      </c>
      <c r="F49" s="38">
        <f>SUM(F23:F48)</f>
        <v>12019</v>
      </c>
      <c r="G49" s="38">
        <f>SUM(G23:G48)</f>
        <v>4134</v>
      </c>
      <c r="H49" s="38">
        <f>SUM(H23:H48)</f>
        <v>74850.44</v>
      </c>
      <c r="I49" s="39">
        <f>SUM(I23:I48)</f>
        <v>5221</v>
      </c>
      <c r="J49" s="40">
        <f>SUM(J23:J48)</f>
        <v>0</v>
      </c>
      <c r="K49" s="40">
        <f>SUM(K23:K48)</f>
        <v>12500</v>
      </c>
      <c r="L49" s="40">
        <f>SUM(L23:L48)</f>
        <v>71000</v>
      </c>
      <c r="M49" s="40">
        <f>SUM(M23:M48)</f>
        <v>27000</v>
      </c>
      <c r="N49" s="40">
        <f>SUM(N23:N48)</f>
        <v>0</v>
      </c>
      <c r="O49" s="40">
        <f>SUM(O23:O48)</f>
        <v>33500</v>
      </c>
      <c r="P49" s="40">
        <f>SUM(P23:P48)</f>
        <v>0</v>
      </c>
      <c r="Q49" s="40">
        <f>SUM(Q23:Q48)</f>
        <v>0</v>
      </c>
      <c r="R49" s="40">
        <f>SUM(R23:R48)</f>
        <v>13000</v>
      </c>
      <c r="S49" s="40">
        <f>SUM(S23:S48)</f>
        <v>10000</v>
      </c>
      <c r="T49" s="40">
        <f>SUM(T23:T48)</f>
        <v>60000</v>
      </c>
      <c r="U49" s="40">
        <f>SUM(U23:U48)</f>
        <v>0</v>
      </c>
      <c r="V49" s="40">
        <f>SUM(V23:V48)</f>
        <v>10000</v>
      </c>
      <c r="W49" s="40">
        <f>SUM(W23:W48)</f>
        <v>0</v>
      </c>
      <c r="X49" s="40">
        <f>SUM(X23:X48)</f>
        <v>0</v>
      </c>
      <c r="Y49" s="40">
        <f>SUM(Y23:Y48)</f>
        <v>0</v>
      </c>
      <c r="Z49" s="40">
        <f>SUM(Z23:Z48)</f>
        <v>25000</v>
      </c>
      <c r="AA49" s="40">
        <f>SUM(AA23:AA48)</f>
        <v>13000</v>
      </c>
      <c r="AB49" s="40">
        <f>SUM(AB23:AB48)</f>
        <v>67000</v>
      </c>
      <c r="AC49" s="40">
        <f>SUM(AC23:AC48)</f>
        <v>0</v>
      </c>
    </row>
    <row r="50" ht="20.25" customHeight="1">
      <c r="A50" s="24"/>
      <c r="B50" s="17"/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</row>
    <row r="51" ht="20.05" customHeight="1">
      <c r="A51" s="24"/>
      <c r="B51" t="s" s="43">
        <v>46</v>
      </c>
      <c r="C51" s="44">
        <f>C20-C49</f>
        <v>19929.13</v>
      </c>
      <c r="D51" s="45">
        <f>D20-D49</f>
        <v>9582.700000000001</v>
      </c>
      <c r="E51" s="45">
        <f>E20-E49</f>
        <v>-22642.3</v>
      </c>
      <c r="F51" s="45">
        <f>F20-F49</f>
        <v>-10080</v>
      </c>
      <c r="G51" s="45">
        <f>G20-G49</f>
        <v>4895</v>
      </c>
      <c r="H51" s="45">
        <f>H20-H49</f>
        <v>-80873.44</v>
      </c>
      <c r="I51" s="45">
        <f>I20-I49</f>
        <v>334</v>
      </c>
      <c r="J51" s="45">
        <f>J20-J49</f>
        <v>1944</v>
      </c>
      <c r="K51" s="45">
        <f>K20-K49</f>
        <v>6614.9490853753</v>
      </c>
      <c r="L51" s="45">
        <f>L20-L49</f>
        <v>-41313.1635329172</v>
      </c>
      <c r="M51" s="45">
        <f>M20-M49</f>
        <v>1678.7168292173</v>
      </c>
      <c r="N51" s="45">
        <f>N20-N49</f>
        <v>24949.9940035546</v>
      </c>
      <c r="O51" s="45">
        <f>O20-O49</f>
        <v>-9025.021491105999</v>
      </c>
      <c r="P51" s="45">
        <f>P20-P49</f>
        <v>22038.0782582966</v>
      </c>
      <c r="Q51" s="45">
        <f>Q20-Q49</f>
        <v>21135.6181880124</v>
      </c>
      <c r="R51" s="45">
        <f>R20-R49</f>
        <v>5531.8510035267</v>
      </c>
      <c r="S51" s="45">
        <f>S20-S49</f>
        <v>8253.9060989503</v>
      </c>
      <c r="T51" s="45">
        <f>T20-T49</f>
        <v>-44808.5853379489</v>
      </c>
      <c r="U51" s="45">
        <f>U20-U49</f>
        <v>14477.5286653666</v>
      </c>
      <c r="V51" s="45">
        <f>V20-V49</f>
        <v>189.0319420634</v>
      </c>
      <c r="W51" s="45">
        <f>W20-W49</f>
        <v>9583.452616878711</v>
      </c>
      <c r="X51" s="45">
        <f>X20-X49</f>
        <v>5813.877824614690</v>
      </c>
      <c r="Y51" s="45">
        <f>Y20-Y49</f>
        <v>5225.747743293580</v>
      </c>
      <c r="Z51" s="45">
        <f>Z20-Z49</f>
        <v>-23509.3393113768</v>
      </c>
      <c r="AA51" s="45">
        <f>AA20-AA49</f>
        <v>-12426.5891660506</v>
      </c>
      <c r="AB51" s="46">
        <f>AB20-AB49</f>
        <v>-71019.164213489406</v>
      </c>
      <c r="AC51" s="47">
        <f>AC20-AC49</f>
        <v>-453.028096389930</v>
      </c>
    </row>
    <row r="52" ht="20.05" customHeight="1">
      <c r="A52" s="24"/>
      <c r="B52" s="17"/>
      <c r="C52" s="48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</row>
    <row r="53" ht="23" customHeight="1">
      <c r="A53" s="24"/>
      <c r="B53" t="s" s="50">
        <v>47</v>
      </c>
      <c r="C53" s="18"/>
      <c r="D53" s="19"/>
      <c r="E53" s="35"/>
      <c r="F53" s="35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</row>
    <row r="54" ht="32.05" customHeight="1">
      <c r="A54" s="24"/>
      <c r="B54" t="s" s="51">
        <v>48</v>
      </c>
      <c r="C54" s="18"/>
      <c r="D54" s="19"/>
      <c r="E54" s="35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</row>
    <row r="55" ht="20.05" customHeight="1">
      <c r="A55" s="24"/>
      <c r="B55" t="s" s="52">
        <v>49</v>
      </c>
      <c r="C55" s="18"/>
      <c r="D55" s="19"/>
      <c r="E55" s="36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</row>
    <row r="56" ht="32.05" customHeight="1">
      <c r="A56" s="24"/>
      <c r="B56" t="s" s="51">
        <v>50</v>
      </c>
      <c r="C56" s="18"/>
      <c r="D56" s="19"/>
      <c r="E56" s="35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</row>
    <row r="57" ht="32.05" customHeight="1">
      <c r="A57" s="24"/>
      <c r="B57" t="s" s="13">
        <v>51</v>
      </c>
      <c r="C57" s="18"/>
      <c r="D57" s="19"/>
      <c r="E57" s="35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</row>
    <row r="58" ht="20.05" customHeight="1">
      <c r="A58" s="24"/>
      <c r="B58" t="s" s="13">
        <v>52</v>
      </c>
      <c r="C58" s="18"/>
      <c r="D58" s="19"/>
      <c r="E58" s="35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</row>
    <row r="59" ht="20.05" customHeight="1">
      <c r="A59" s="24"/>
      <c r="B59" t="s" s="51">
        <v>53</v>
      </c>
      <c r="C59" s="18"/>
      <c r="D59" s="19"/>
      <c r="E59" s="35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</row>
    <row r="60" ht="20.05" customHeight="1">
      <c r="A60" s="24"/>
      <c r="B60" t="s" s="51">
        <v>54</v>
      </c>
      <c r="C60" s="18"/>
      <c r="D60" s="19"/>
      <c r="E60" s="35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</row>
    <row r="61" ht="20.05" customHeight="1">
      <c r="A61" s="24"/>
      <c r="B61" s="51"/>
      <c r="C61" s="18"/>
      <c r="D61" s="19"/>
      <c r="E61" s="35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</row>
  </sheetData>
  <mergeCells count="1">
    <mergeCell ref="A1:AB1"/>
  </mergeCells>
  <conditionalFormatting sqref="C3:AC29 C30:J38 L30:AC33 K34:AC38 I39:AC40 C41:AC41 I42:AC42 C43:AC61">
    <cfRule type="cellIs" dxfId="0" priority="1" operator="lessThan" stopIfTrue="1">
      <formula>0</formula>
    </cfRule>
  </conditionalFormatting>
  <pageMargins left="0" right="0" top="0" bottom="0" header="0.027778" footer="0.027778"/>
  <pageSetup firstPageNumber="1" fitToHeight="1" fitToWidth="1" scale="47" useFirstPageNumber="0" orientation="landscape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2:E26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3.9" customHeight="1" outlineLevelRow="0" outlineLevelCol="0"/>
  <cols>
    <col min="1" max="1" width="46.7109" style="53" customWidth="1"/>
    <col min="2" max="5" width="16.3516" style="53" customWidth="1"/>
    <col min="6" max="16384" width="16.3516" style="53" customWidth="1"/>
  </cols>
  <sheetData>
    <row r="1" ht="19" customHeight="1">
      <c r="A1" t="s" s="54">
        <v>0</v>
      </c>
      <c r="B1" s="54"/>
      <c r="C1" s="54"/>
      <c r="D1" s="54"/>
      <c r="E1" s="54"/>
    </row>
    <row r="2" ht="14.25" customHeight="1">
      <c r="A2" s="55"/>
      <c r="B2" s="55"/>
      <c r="C2" s="55"/>
      <c r="D2" s="55"/>
      <c r="E2" s="55"/>
    </row>
    <row r="3" ht="14.25" customHeight="1">
      <c r="A3" s="56"/>
      <c r="B3" s="56"/>
      <c r="C3" s="56"/>
      <c r="D3" s="56"/>
      <c r="E3" s="56"/>
    </row>
    <row r="4" ht="17" customHeight="1">
      <c r="A4" t="s" s="57">
        <v>55</v>
      </c>
      <c r="B4" t="s" s="58">
        <v>56</v>
      </c>
      <c r="C4" s="59"/>
      <c r="D4" s="59"/>
      <c r="E4" s="59"/>
    </row>
    <row r="5" ht="14.05" customHeight="1">
      <c r="A5" t="s" s="60">
        <f>'Sheet 1'!$B15</f>
        <v>57</v>
      </c>
      <c r="B5" s="61">
        <f>'Sheet 1'!I15-'Sheet 1'!C15</f>
        <v>3876</v>
      </c>
      <c r="C5" s="59"/>
      <c r="D5" s="59"/>
      <c r="E5" s="59"/>
    </row>
    <row r="6" ht="14.05" customHeight="1">
      <c r="A6" t="s" s="60">
        <f>'Sheet 1'!$B18</f>
        <v>58</v>
      </c>
      <c r="B6" s="61">
        <f>'Sheet 1'!I18-'Sheet 1'!C18</f>
        <v>6838.49</v>
      </c>
      <c r="C6" s="59"/>
      <c r="D6" s="59"/>
      <c r="E6" s="59"/>
    </row>
    <row r="7" ht="14.05" customHeight="1">
      <c r="A7" t="s" s="62">
        <v>59</v>
      </c>
      <c r="B7" s="61">
        <f>'Sheet 1'!J14/2</f>
        <v>1350</v>
      </c>
      <c r="C7" s="59"/>
      <c r="D7" s="59"/>
      <c r="E7" s="59"/>
    </row>
    <row r="8" ht="14.85" customHeight="1">
      <c r="A8" t="s" s="62">
        <v>60</v>
      </c>
      <c r="B8" s="63">
        <f>SUM('Sheet 1'!I10:I19)-SUM('Sheet 1'!C10:C19)-SUM(B5:B7)</f>
        <v>1106.58</v>
      </c>
      <c r="C8" s="59"/>
      <c r="D8" s="59"/>
      <c r="E8" s="59"/>
    </row>
    <row r="9" ht="15.7" customHeight="1">
      <c r="A9" t="s" s="64">
        <v>61</v>
      </c>
      <c r="B9" s="65">
        <f>SUM(B5:B8)</f>
        <v>13171.07</v>
      </c>
      <c r="C9" s="66"/>
      <c r="D9" s="59"/>
      <c r="E9" s="59"/>
    </row>
    <row r="10" ht="14.85" customHeight="1">
      <c r="A10" s="59"/>
      <c r="B10" s="67"/>
      <c r="C10" s="59"/>
      <c r="D10" s="59"/>
      <c r="E10" s="59"/>
    </row>
    <row r="11" ht="17" customHeight="1">
      <c r="A11" t="s" s="57">
        <v>62</v>
      </c>
      <c r="B11" t="s" s="58">
        <v>63</v>
      </c>
      <c r="C11" s="59"/>
      <c r="D11" s="59"/>
      <c r="E11" s="59"/>
    </row>
    <row r="12" ht="14.05" customHeight="1">
      <c r="A12" t="s" s="60">
        <f>'Sheet 1'!$B23</f>
        <v>64</v>
      </c>
      <c r="B12" s="61">
        <f>'Sheet 1'!F23</f>
        <v>3625</v>
      </c>
      <c r="C12" s="59"/>
      <c r="D12" s="59"/>
      <c r="E12" s="59"/>
    </row>
    <row r="13" ht="14.05" customHeight="1">
      <c r="A13" t="s" s="60">
        <f>'Sheet 1'!$B29</f>
        <v>65</v>
      </c>
      <c r="B13" s="61">
        <f>'Sheet 1'!H29</f>
        <v>15059.44</v>
      </c>
      <c r="C13" s="59"/>
      <c r="D13" s="59"/>
      <c r="E13" s="59"/>
    </row>
    <row r="14" ht="14.05" customHeight="1">
      <c r="A14" t="s" s="60">
        <f>'Sheet 1'!$B35</f>
        <v>66</v>
      </c>
      <c r="B14" s="61">
        <f>'Sheet 1'!F35+'Sheet 1'!H35</f>
        <v>12185</v>
      </c>
      <c r="C14" s="59"/>
      <c r="D14" s="59"/>
      <c r="E14" s="59"/>
    </row>
    <row r="15" ht="14.05" customHeight="1">
      <c r="A15" t="s" s="60">
        <f>'Sheet 1'!$B41</f>
        <v>67</v>
      </c>
      <c r="B15" s="61">
        <f>'Sheet 1'!I41</f>
        <v>5221</v>
      </c>
      <c r="C15" s="59"/>
      <c r="D15" s="59"/>
      <c r="E15" s="59"/>
    </row>
    <row r="16" ht="14.05" customHeight="1">
      <c r="A16" t="s" s="60">
        <f>'Sheet 1'!$B43</f>
        <v>68</v>
      </c>
      <c r="B16" s="61">
        <f>'Sheet 1'!H43</f>
        <v>56000</v>
      </c>
      <c r="C16" s="59"/>
      <c r="D16" s="59"/>
      <c r="E16" s="59"/>
    </row>
    <row r="17" ht="14.85" customHeight="1">
      <c r="A17" t="s" s="60">
        <f>'Sheet 1'!$B47</f>
        <v>69</v>
      </c>
      <c r="B17" s="63">
        <f>'Sheet 1'!E47+'Sheet 1'!G47</f>
        <v>24687.59</v>
      </c>
      <c r="C17" s="59"/>
      <c r="D17" s="59"/>
      <c r="E17" s="59"/>
    </row>
    <row r="18" ht="15.7" customHeight="1">
      <c r="A18" t="s" s="64">
        <v>70</v>
      </c>
      <c r="B18" s="65">
        <f>SUM(B12:B17)</f>
        <v>116778.03</v>
      </c>
      <c r="C18" s="66"/>
      <c r="D18" s="59"/>
      <c r="E18" s="59"/>
    </row>
    <row r="19" ht="14.85" customHeight="1">
      <c r="A19" s="59"/>
      <c r="B19" s="67"/>
      <c r="C19" s="59"/>
      <c r="D19" s="59"/>
      <c r="E19" s="59"/>
    </row>
    <row r="20" ht="14.05" customHeight="1">
      <c r="A20" s="59"/>
      <c r="B20" s="59"/>
      <c r="C20" s="59"/>
      <c r="D20" s="59"/>
      <c r="E20" s="59"/>
    </row>
    <row r="21" ht="14.05" customHeight="1">
      <c r="A21" t="s" s="60">
        <v>71</v>
      </c>
      <c r="B21" s="59"/>
      <c r="C21" s="59"/>
      <c r="D21" s="59"/>
      <c r="E21" s="59"/>
    </row>
    <row r="22" ht="14.05" customHeight="1">
      <c r="A22" s="59"/>
      <c r="B22" s="59"/>
      <c r="C22" s="59"/>
      <c r="D22" s="59"/>
      <c r="E22" s="59"/>
    </row>
    <row r="23" ht="14.05" customHeight="1">
      <c r="A23" s="59"/>
      <c r="B23" s="59"/>
      <c r="C23" s="59"/>
      <c r="D23" s="59"/>
      <c r="E23" s="59"/>
    </row>
    <row r="24" ht="14.05" customHeight="1">
      <c r="A24" s="59"/>
      <c r="B24" s="59"/>
      <c r="C24" s="59"/>
      <c r="D24" s="59"/>
      <c r="E24" s="59"/>
    </row>
    <row r="25" ht="14.05" customHeight="1">
      <c r="A25" s="59"/>
      <c r="B25" s="59"/>
      <c r="C25" s="59"/>
      <c r="D25" s="59"/>
      <c r="E25" s="59"/>
    </row>
    <row r="26" ht="14.05" customHeight="1">
      <c r="A26" s="59"/>
      <c r="B26" s="59"/>
      <c r="C26" s="59"/>
      <c r="D26" s="59"/>
      <c r="E26" s="59"/>
    </row>
  </sheetData>
  <mergeCells count="1">
    <mergeCell ref="A1:E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